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eadedu-my.sharepoint.com/personal/ala_ben-abbes_insead_edu/Documents/shemcity/"/>
    </mc:Choice>
  </mc:AlternateContent>
  <xr:revisionPtr revIDLastSave="0" documentId="8_{650F5C02-64DD-6542-9D6D-26E4F23890CB}" xr6:coauthVersionLast="45" xr6:coauthVersionMax="45" xr10:uidLastSave="{00000000-0000-0000-0000-000000000000}"/>
  <bookViews>
    <workbookView xWindow="0" yWindow="460" windowWidth="27320" windowHeight="13620" xr2:uid="{00000000-000D-0000-FFFF-FFFF00000000}"/>
  </bookViews>
  <sheets>
    <sheet name="Ratios STEG" sheetId="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3" i="4" l="1"/>
  <c r="A36" i="4" l="1"/>
  <c r="A43" i="4"/>
  <c r="A42" i="4" s="1"/>
  <c r="A45" i="4"/>
  <c r="A44" i="4" s="1"/>
  <c r="A47" i="4"/>
  <c r="A48" i="4"/>
  <c r="A49" i="4"/>
  <c r="A50" i="4"/>
  <c r="D30" i="4" l="1"/>
  <c r="E30" i="4"/>
  <c r="F30" i="4"/>
  <c r="G30" i="4"/>
  <c r="C30" i="4"/>
  <c r="D29" i="4"/>
  <c r="E29" i="4"/>
  <c r="F29" i="4"/>
  <c r="G29" i="4"/>
  <c r="C29" i="4"/>
  <c r="D28" i="4"/>
  <c r="E28" i="4"/>
  <c r="F28" i="4"/>
  <c r="G28" i="4"/>
  <c r="C28" i="4"/>
  <c r="D27" i="4"/>
  <c r="E27" i="4"/>
  <c r="F27" i="4"/>
  <c r="G27" i="4"/>
  <c r="D25" i="4"/>
  <c r="E25" i="4"/>
  <c r="F25" i="4"/>
  <c r="G25" i="4"/>
  <c r="G26" i="4" s="1"/>
  <c r="F23" i="4"/>
  <c r="E23" i="4"/>
  <c r="D23" i="4"/>
  <c r="C23" i="4"/>
  <c r="C55" i="4"/>
  <c r="D55" i="4"/>
  <c r="E55" i="4"/>
  <c r="F55" i="4"/>
  <c r="G55" i="4"/>
  <c r="C7" i="4"/>
  <c r="D7" i="4"/>
  <c r="D21" i="4"/>
  <c r="C21" i="4"/>
  <c r="C2" i="4"/>
  <c r="C53" i="4" s="1"/>
  <c r="D2" i="4"/>
  <c r="D53" i="4" s="1"/>
  <c r="E21" i="4"/>
  <c r="F21" i="4"/>
  <c r="E2" i="4"/>
  <c r="E53" i="4" s="1"/>
  <c r="C24" i="4"/>
  <c r="D24" i="4"/>
  <c r="C25" i="4"/>
  <c r="C27" i="4"/>
  <c r="F2" i="4"/>
  <c r="F53" i="4" s="1"/>
  <c r="G21" i="4"/>
  <c r="F26" i="4" l="1"/>
  <c r="E26" i="4"/>
  <c r="D26" i="4"/>
  <c r="C26" i="4"/>
  <c r="G2" i="4" l="1"/>
  <c r="G53" i="4" s="1"/>
  <c r="G50" i="4"/>
  <c r="G48" i="4"/>
  <c r="G47" i="4"/>
  <c r="G39" i="4"/>
  <c r="G38" i="4"/>
  <c r="G42" i="4"/>
  <c r="G43" i="4" s="1"/>
  <c r="G36" i="4"/>
  <c r="G23" i="4"/>
  <c r="G24" i="4" s="1"/>
  <c r="G61" i="4" s="1"/>
  <c r="G49" i="4"/>
  <c r="G41" i="4"/>
  <c r="G46" i="4"/>
  <c r="F50" i="4"/>
  <c r="F47" i="4"/>
  <c r="F39" i="4"/>
  <c r="F38" i="4"/>
  <c r="F42" i="4"/>
  <c r="F43" i="4" s="1"/>
  <c r="F36" i="4"/>
  <c r="F24" i="4"/>
  <c r="F61" i="4" s="1"/>
  <c r="F41" i="4"/>
  <c r="E50" i="4"/>
  <c r="E47" i="4"/>
  <c r="E39" i="4"/>
  <c r="E38" i="4"/>
  <c r="E42" i="4"/>
  <c r="E43" i="4" s="1"/>
  <c r="E36" i="4"/>
  <c r="E24" i="4"/>
  <c r="E41" i="4"/>
  <c r="E61" i="4" l="1"/>
  <c r="E63" i="4"/>
  <c r="E48" i="4"/>
  <c r="F48" i="4"/>
  <c r="E49" i="4"/>
  <c r="F63" i="4"/>
  <c r="G51" i="4"/>
  <c r="G37" i="4"/>
  <c r="G58" i="4" s="1"/>
  <c r="G44" i="4"/>
  <c r="G45" i="4" s="1"/>
  <c r="F49" i="4"/>
  <c r="F37" i="4"/>
  <c r="F58" i="4" s="1"/>
  <c r="F51" i="4"/>
  <c r="F34" i="4"/>
  <c r="F56" i="4" s="1"/>
  <c r="F52" i="4"/>
  <c r="F40" i="4"/>
  <c r="F59" i="4" s="1"/>
  <c r="E34" i="4"/>
  <c r="E56" i="4" s="1"/>
  <c r="F46" i="4"/>
  <c r="E51" i="4"/>
  <c r="E37" i="4"/>
  <c r="E58" i="4" s="1"/>
  <c r="E46" i="4"/>
  <c r="E44" i="4" l="1"/>
  <c r="E45" i="4" s="1"/>
  <c r="F44" i="4"/>
  <c r="F45" i="4" s="1"/>
  <c r="E52" i="4"/>
  <c r="G63" i="4"/>
  <c r="E40" i="4"/>
  <c r="E59" i="4" s="1"/>
  <c r="G34" i="4" l="1"/>
  <c r="G56" i="4" s="1"/>
  <c r="G40" i="4"/>
  <c r="G59" i="4" s="1"/>
  <c r="G52" i="4"/>
  <c r="D44" i="4" l="1"/>
  <c r="D45" i="4" s="1"/>
  <c r="C49" i="4"/>
  <c r="D63" i="4"/>
  <c r="C63" i="4"/>
  <c r="B63" i="4"/>
  <c r="B61" i="4"/>
  <c r="C51" i="4"/>
  <c r="D50" i="4"/>
  <c r="C50" i="4"/>
  <c r="D48" i="4"/>
  <c r="C48" i="4"/>
  <c r="D47" i="4"/>
  <c r="C47" i="4"/>
  <c r="D46" i="4"/>
  <c r="C46" i="4"/>
  <c r="D42" i="4"/>
  <c r="D43" i="4" s="1"/>
  <c r="C41" i="4"/>
  <c r="D39" i="4"/>
  <c r="C39" i="4"/>
  <c r="D38" i="4"/>
  <c r="C38" i="4"/>
  <c r="D36" i="4"/>
  <c r="D49" i="4"/>
  <c r="C44" i="4"/>
  <c r="C45" i="4" s="1"/>
  <c r="C42" i="4"/>
  <c r="C43" i="4" s="1"/>
  <c r="C36" i="4"/>
  <c r="D61" i="4" l="1"/>
  <c r="C37" i="4"/>
  <c r="C58" i="4" s="1"/>
  <c r="D37" i="4"/>
  <c r="D58" i="4" s="1"/>
  <c r="C61" i="4"/>
  <c r="D41" i="4"/>
  <c r="D51" i="4"/>
  <c r="C40" i="4" l="1"/>
  <c r="C59" i="4" s="1"/>
  <c r="C52" i="4"/>
  <c r="C34" i="4"/>
  <c r="C56" i="4" s="1"/>
  <c r="D52" i="4"/>
  <c r="D40" i="4"/>
  <c r="D59" i="4" s="1"/>
  <c r="D34" i="4"/>
  <c r="D56" i="4" s="1"/>
</calcChain>
</file>

<file path=xl/sharedStrings.xml><?xml version="1.0" encoding="utf-8"?>
<sst xmlns="http://schemas.openxmlformats.org/spreadsheetml/2006/main" count="118" uniqueCount="109">
  <si>
    <t>#</t>
  </si>
  <si>
    <t>Ratio</t>
  </si>
  <si>
    <t>Commentaires</t>
  </si>
  <si>
    <t>C</t>
  </si>
  <si>
    <t>PRIIT</t>
  </si>
  <si>
    <t>Sales</t>
  </si>
  <si>
    <t>Yes</t>
  </si>
  <si>
    <t>Cost of Goods Sold</t>
  </si>
  <si>
    <t>Coûts de production de l'éléctricité, qui correspondent essentiellement à l'achat du gaz pour alimenter les centrales électriques</t>
  </si>
  <si>
    <t>Selling General &amp; Administrative Expenses</t>
  </si>
  <si>
    <t>Masse salariale pour les fonctions de vente, administratives, R&amp;D, Marketing, communication, etc</t>
  </si>
  <si>
    <t>Operating Profit</t>
  </si>
  <si>
    <t>Profit opérationnel = revenus - coûts de production - masse salariale. La STEG perd de l'argent "opérationnellement" depuis deux ans</t>
  </si>
  <si>
    <t>yes</t>
  </si>
  <si>
    <t>Net Income</t>
  </si>
  <si>
    <t>Profit net. La STEG perd de l'argent opérationnellement et puis doit ensuite investir, ce qui augmente ses pertes</t>
  </si>
  <si>
    <t>Interest Expense</t>
  </si>
  <si>
    <t>Intérêts bancaires. Correspond aux charges financières nettes - II-6 dans le rapport d'activité.</t>
  </si>
  <si>
    <t>use GPI, should be 38.5m without acquisition</t>
  </si>
  <si>
    <t>Equity Income</t>
  </si>
  <si>
    <t>Revens des placements et autres II-7 dans le rapport d'activité</t>
  </si>
  <si>
    <t>Probably meant "share of loss/profit from JV-s", not relevant here</t>
  </si>
  <si>
    <t>Current Assets</t>
  </si>
  <si>
    <t xml:space="preserve">Actifs courants </t>
  </si>
  <si>
    <t>Inventories</t>
  </si>
  <si>
    <t>Accounts Receivable</t>
  </si>
  <si>
    <t>Total Assets</t>
  </si>
  <si>
    <t>Valeur de l'ensemble des actifs de l'entreprises</t>
  </si>
  <si>
    <t>Cash &amp; Cash Equivalents</t>
  </si>
  <si>
    <t>Cash disponible</t>
  </si>
  <si>
    <t>Short-term Investments</t>
  </si>
  <si>
    <t>Property, Plant &amp; Equipment</t>
  </si>
  <si>
    <t>Immobilisations : I-1A dans le rapport d'activité, couvre la valeur des centrales</t>
  </si>
  <si>
    <t>Current Liabilities</t>
  </si>
  <si>
    <t>Short-term Debt</t>
  </si>
  <si>
    <t xml:space="preserve">Concours bancaires &amp; autres passifs financiers </t>
  </si>
  <si>
    <t>I would recommend to use GPI data only, will confuse otherwise</t>
  </si>
  <si>
    <t>Long-term Debt</t>
  </si>
  <si>
    <t>Passifs non courants / Emprunts long-terme</t>
  </si>
  <si>
    <t>Shareholders' Equity</t>
  </si>
  <si>
    <t>Capitaux propres : par l'accumulation des pertes, la valeur "théorique" de la STEG est désormais négative. Shareholders Equity = Total Assets – Total Liabilities</t>
  </si>
  <si>
    <t>if calculate ROE to the holders of shares of GPI then do not add</t>
  </si>
  <si>
    <t>Cash Flow from Operations</t>
  </si>
  <si>
    <t>Le cash-flow généré par les opérations. Indicateur "ultime" de la viabilité de l'entreprise. Une valeur négative indique une situation non-durable car à chaque cycle de production, l'entreprise perd du cash</t>
  </si>
  <si>
    <t>Interest -bearing debt</t>
  </si>
  <si>
    <t>Personnel, indémnités de départ à la retraite : I-10 dans le rapport d'activité</t>
  </si>
  <si>
    <t>16 + 17 + Employee benefits liability (P120)</t>
  </si>
  <si>
    <t>long term + short term only</t>
  </si>
  <si>
    <t>Tax rate</t>
  </si>
  <si>
    <t>Taxe sur les entreprise. Valeur normative de 30% pour permettre de comparer les années</t>
  </si>
  <si>
    <t>Net Operating profit</t>
  </si>
  <si>
    <t>NOPAT</t>
  </si>
  <si>
    <t>Invested Capital</t>
  </si>
  <si>
    <t>Average IC for Y-1</t>
  </si>
  <si>
    <t xml:space="preserve">Moyenne sur deux ans du capital investit </t>
  </si>
  <si>
    <t>Average SE for Y-1</t>
  </si>
  <si>
    <t>Average PP&amp;E for Y-1</t>
  </si>
  <si>
    <t>Valur moyenne des immobilisations</t>
  </si>
  <si>
    <t>Average Invenotries for Y-1</t>
  </si>
  <si>
    <t>Valeur moyenne des stocks</t>
  </si>
  <si>
    <t>Average A/R for Y-1</t>
  </si>
  <si>
    <t xml:space="preserve">Valeur moyenne des clients &amp; comptes rattachées </t>
  </si>
  <si>
    <t>Employees</t>
  </si>
  <si>
    <t xml:space="preserve">Nombre de salariés </t>
  </si>
  <si>
    <t>Ref</t>
  </si>
  <si>
    <t>ROIC</t>
  </si>
  <si>
    <t>ROE</t>
  </si>
  <si>
    <t>ROE = Nopat Margin x ICC x Common Earnings Lev x Capital Structure Leverage</t>
  </si>
  <si>
    <t>NOPAT Margin</t>
  </si>
  <si>
    <t>COGS</t>
  </si>
  <si>
    <t>Coûts de production ramené aux ventes. En 2018, le coût de production est supérieur aux ventes.</t>
  </si>
  <si>
    <t>SG&amp;A</t>
  </si>
  <si>
    <t>SG&amp;A ramené aux ventes. Deux fois inférieures à la moyenne par rapport aux entreprises du secteur. Si la qualité de service commercial nécessite recurtement, la STEG peut l'envisager</t>
  </si>
  <si>
    <t>IC Turnover</t>
  </si>
  <si>
    <t>x</t>
  </si>
  <si>
    <t>1 TND investit génère 0,84 TND de ventes</t>
  </si>
  <si>
    <t>0.65</t>
  </si>
  <si>
    <t>PP&amp;E Turnover</t>
  </si>
  <si>
    <t>1 TND investit dans une centrale génère moins de 0,5 TND de ventes. Dans des entreprises similaires</t>
  </si>
  <si>
    <t>Inventory turnover</t>
  </si>
  <si>
    <t>Inventory period</t>
  </si>
  <si>
    <t>days</t>
  </si>
  <si>
    <t>A/R turnover</t>
  </si>
  <si>
    <t>Receivables period</t>
  </si>
  <si>
    <t>A/R %</t>
  </si>
  <si>
    <t>Current ratio</t>
  </si>
  <si>
    <t>Quick ratio</t>
  </si>
  <si>
    <t>Debt-equity ratio</t>
  </si>
  <si>
    <t>Interst coverage ratio</t>
  </si>
  <si>
    <t>Common Earnings Leverage</t>
  </si>
  <si>
    <t>Capital Structure Leverage</t>
  </si>
  <si>
    <t>Sales/Employee</t>
  </si>
  <si>
    <t>Comments and explanations</t>
  </si>
  <si>
    <t>ROIC = (NOPAT / Sales) * (Sales/Invested Capital)</t>
  </si>
  <si>
    <t xml:space="preserve">Return On Invested Capital a baissé et est désormais négatif depuis deux ans </t>
  </si>
  <si>
    <t>NOPAT/SALES (NOPAT MARGIN)</t>
  </si>
  <si>
    <t xml:space="preserve">A </t>
  </si>
  <si>
    <t>Pour 1 TND de vente, la STEG perd 0,07 TND</t>
  </si>
  <si>
    <t>Sales/Invested Capital (IC turnover)</t>
  </si>
  <si>
    <t>A+B=C</t>
  </si>
  <si>
    <t xml:space="preserve">1 TND investi génère désormais 0.84 TND de revenus, ce qui est en augmentation par rapport aux trois années précédentes </t>
  </si>
  <si>
    <t>B</t>
  </si>
  <si>
    <t>A</t>
  </si>
  <si>
    <t>Le niveau de capital investit par la STEG est stable depuis 4 années. Il est au global élevé par rapport aux revenus de l'entreprise et correspond à la stratégie du groupe (solaires, éoliens, etc.)</t>
  </si>
  <si>
    <t>Les revenus ou les ventes de la STEG. Il s'agit de ventes "payées" par les clients.</t>
  </si>
  <si>
    <t xml:space="preserve">Stock : typiquement du combustible en centrale </t>
  </si>
  <si>
    <t>Clients &amp; Comptes rattachés - de l'argent que les clients doivent à la STEG. On retrouve les "milliards" d'impayés sur lesquels communique la STEG</t>
  </si>
  <si>
    <t>Autres actifs financiers : I-6 dans le rapport d'activité</t>
  </si>
  <si>
    <t>Capital investi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</si>
</sst>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21">
    <font>
      <sz val="10"/>
      <color rgb="FF000000"/>
      <name val="Arial"/>
    </font>
    <font>
      <b/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C00000"/>
      <name val="Arial"/>
      <family val="2"/>
      <charset val="204"/>
    </font>
    <font>
      <b/>
      <sz val="10"/>
      <color rgb="FFC00000"/>
      <name val="Arial"/>
      <family val="2"/>
      <charset val="204"/>
    </font>
    <font>
      <b/>
      <sz val="10"/>
      <color theme="9"/>
      <name val="Arial"/>
      <family val="2"/>
    </font>
    <font>
      <b/>
      <sz val="10"/>
      <color theme="4"/>
      <name val="Arial"/>
      <family val="2"/>
    </font>
    <font>
      <b/>
      <sz val="10"/>
      <color rgb="FF7030A0"/>
      <name val="Arial"/>
      <family val="2"/>
    </font>
    <font>
      <b/>
      <sz val="10"/>
      <color theme="2"/>
      <name val="Arial"/>
      <family val="2"/>
    </font>
    <font>
      <sz val="10"/>
      <color theme="2"/>
      <name val="Arial"/>
      <family val="2"/>
    </font>
    <font>
      <sz val="10"/>
      <color rgb="FFFF0000"/>
      <name val="Arial"/>
      <family val="2"/>
    </font>
    <font>
      <sz val="12"/>
      <color rgb="FF9C0006"/>
      <name val="Calibri"/>
      <family val="2"/>
      <scheme val="minor"/>
    </font>
    <font>
      <sz val="10"/>
      <color theme="4"/>
      <name val="Arial"/>
      <family val="2"/>
    </font>
    <font>
      <b/>
      <sz val="10"/>
      <color theme="4" tint="-0.499984740745262"/>
      <name val="Arial"/>
      <family val="2"/>
    </font>
    <font>
      <b/>
      <i/>
      <sz val="10"/>
      <color rgb="FF000000"/>
      <name val="Arial"/>
      <family val="2"/>
    </font>
    <font>
      <u/>
      <sz val="10"/>
      <color theme="5" tint="0.59999389629810485"/>
      <name val="Arial"/>
      <family val="2"/>
    </font>
    <font>
      <sz val="10"/>
      <color rgb="FF9C000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5" fillId="2" borderId="0" applyNumberFormat="0" applyBorder="0" applyAlignment="0" applyProtection="0"/>
  </cellStyleXfs>
  <cellXfs count="72">
    <xf numFmtId="0" fontId="0" fillId="0" borderId="0" xfId="0" applyFont="1" applyAlignment="1"/>
    <xf numFmtId="0" fontId="1" fillId="0" borderId="0" xfId="0" applyFont="1" applyAlignment="1"/>
    <xf numFmtId="0" fontId="2" fillId="0" borderId="0" xfId="1" applyAlignment="1"/>
    <xf numFmtId="0" fontId="0" fillId="0" borderId="1" xfId="0" applyFont="1" applyBorder="1" applyAlignment="1"/>
    <xf numFmtId="0" fontId="1" fillId="0" borderId="4" xfId="0" applyFont="1" applyBorder="1" applyAlignment="1"/>
    <xf numFmtId="0" fontId="0" fillId="0" borderId="4" xfId="0" applyFont="1" applyBorder="1" applyAlignment="1"/>
    <xf numFmtId="10" fontId="0" fillId="0" borderId="4" xfId="0" applyNumberFormat="1" applyFont="1" applyBorder="1" applyAlignment="1"/>
    <xf numFmtId="2" fontId="0" fillId="0" borderId="4" xfId="0" applyNumberFormat="1" applyFont="1" applyBorder="1" applyAlignment="1"/>
    <xf numFmtId="164" fontId="0" fillId="0" borderId="4" xfId="0" applyNumberFormat="1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5" fillId="0" borderId="4" xfId="0" applyFont="1" applyBorder="1" applyAlignment="1"/>
    <xf numFmtId="10" fontId="5" fillId="0" borderId="4" xfId="0" applyNumberFormat="1" applyFont="1" applyBorder="1" applyAlignment="1"/>
    <xf numFmtId="0" fontId="5" fillId="0" borderId="0" xfId="0" applyFont="1" applyAlignment="1"/>
    <xf numFmtId="0" fontId="6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/>
    <xf numFmtId="165" fontId="7" fillId="0" borderId="0" xfId="2" applyNumberFormat="1" applyFont="1" applyAlignment="1"/>
    <xf numFmtId="0" fontId="7" fillId="0" borderId="0" xfId="0" applyFont="1" applyAlignment="1">
      <alignment horizontal="left" indent="1"/>
    </xf>
    <xf numFmtId="2" fontId="7" fillId="0" borderId="0" xfId="0" applyNumberFormat="1" applyFont="1" applyAlignment="1"/>
    <xf numFmtId="164" fontId="7" fillId="0" borderId="0" xfId="0" applyNumberFormat="1" applyFont="1" applyAlignment="1">
      <alignment horizontal="left" indent="2"/>
    </xf>
    <xf numFmtId="1" fontId="7" fillId="0" borderId="0" xfId="0" applyNumberFormat="1" applyFont="1" applyAlignment="1"/>
    <xf numFmtId="0" fontId="7" fillId="0" borderId="0" xfId="0" applyFont="1" applyAlignment="1">
      <alignment horizontal="left" indent="2"/>
    </xf>
    <xf numFmtId="0" fontId="1" fillId="0" borderId="0" xfId="0" applyFont="1" applyFill="1" applyBorder="1" applyAlignment="1"/>
    <xf numFmtId="0" fontId="0" fillId="0" borderId="0" xfId="0" applyFont="1" applyFill="1" applyBorder="1" applyAlignment="1"/>
    <xf numFmtId="3" fontId="0" fillId="0" borderId="0" xfId="0" applyNumberFormat="1" applyFont="1" applyFill="1" applyBorder="1" applyAlignment="1"/>
    <xf numFmtId="1" fontId="0" fillId="0" borderId="0" xfId="0" applyNumberFormat="1" applyFont="1" applyFill="1" applyBorder="1" applyAlignment="1"/>
    <xf numFmtId="10" fontId="0" fillId="0" borderId="0" xfId="0" applyNumberFormat="1" applyFont="1" applyFill="1" applyBorder="1" applyAlignment="1"/>
    <xf numFmtId="164" fontId="0" fillId="0" borderId="0" xfId="0" applyNumberFormat="1" applyFont="1" applyFill="1" applyBorder="1" applyAlignment="1"/>
    <xf numFmtId="0" fontId="3" fillId="0" borderId="0" xfId="0" applyFont="1" applyAlignment="1"/>
    <xf numFmtId="0" fontId="12" fillId="0" borderId="0" xfId="0" applyFont="1" applyBorder="1" applyAlignment="1">
      <alignment horizontal="right"/>
    </xf>
    <xf numFmtId="164" fontId="13" fillId="0" borderId="0" xfId="0" applyNumberFormat="1" applyFont="1" applyBorder="1" applyAlignment="1">
      <alignment horizontal="right"/>
    </xf>
    <xf numFmtId="2" fontId="13" fillId="0" borderId="0" xfId="0" applyNumberFormat="1" applyFont="1" applyBorder="1" applyAlignment="1">
      <alignment horizontal="right"/>
    </xf>
    <xf numFmtId="10" fontId="13" fillId="0" borderId="0" xfId="0" applyNumberFormat="1" applyFont="1" applyBorder="1" applyAlignment="1">
      <alignment horizontal="right"/>
    </xf>
    <xf numFmtId="164" fontId="16" fillId="0" borderId="7" xfId="0" applyNumberFormat="1" applyFont="1" applyBorder="1" applyAlignment="1"/>
    <xf numFmtId="164" fontId="16" fillId="0" borderId="2" xfId="0" applyNumberFormat="1" applyFont="1" applyBorder="1" applyAlignment="1"/>
    <xf numFmtId="2" fontId="16" fillId="0" borderId="2" xfId="0" applyNumberFormat="1" applyFont="1" applyBorder="1" applyAlignment="1"/>
    <xf numFmtId="164" fontId="17" fillId="0" borderId="0" xfId="0" applyNumberFormat="1" applyFont="1" applyBorder="1" applyAlignment="1"/>
    <xf numFmtId="164" fontId="17" fillId="0" borderId="2" xfId="0" applyNumberFormat="1" applyFont="1" applyBorder="1" applyAlignment="1"/>
    <xf numFmtId="10" fontId="14" fillId="0" borderId="0" xfId="0" applyNumberFormat="1" applyFont="1" applyBorder="1" applyAlignment="1"/>
    <xf numFmtId="10" fontId="14" fillId="0" borderId="2" xfId="0" applyNumberFormat="1" applyFont="1" applyBorder="1" applyAlignment="1"/>
    <xf numFmtId="0" fontId="18" fillId="0" borderId="4" xfId="0" applyFont="1" applyBorder="1" applyAlignment="1"/>
    <xf numFmtId="164" fontId="16" fillId="0" borderId="6" xfId="0" applyNumberFormat="1" applyFont="1" applyBorder="1" applyAlignment="1"/>
    <xf numFmtId="164" fontId="16" fillId="0" borderId="0" xfId="0" applyNumberFormat="1" applyFont="1" applyBorder="1" applyAlignment="1"/>
    <xf numFmtId="0" fontId="9" fillId="0" borderId="0" xfId="0" applyFont="1" applyBorder="1" applyAlignment="1"/>
    <xf numFmtId="0" fontId="11" fillId="0" borderId="0" xfId="0" applyFont="1" applyBorder="1" applyAlignment="1"/>
    <xf numFmtId="0" fontId="10" fillId="0" borderId="0" xfId="0" applyFont="1" applyBorder="1" applyAlignment="1"/>
    <xf numFmtId="2" fontId="16" fillId="0" borderId="0" xfId="0" applyNumberFormat="1" applyFont="1" applyBorder="1" applyAlignment="1"/>
    <xf numFmtId="164" fontId="16" fillId="0" borderId="0" xfId="0" applyNumberFormat="1" applyFont="1" applyFill="1" applyBorder="1" applyAlignment="1"/>
    <xf numFmtId="164" fontId="19" fillId="0" borderId="0" xfId="0" applyNumberFormat="1" applyFont="1" applyBorder="1" applyAlignment="1"/>
    <xf numFmtId="9" fontId="7" fillId="0" borderId="0" xfId="2" applyFont="1" applyAlignment="1"/>
    <xf numFmtId="2" fontId="20" fillId="2" borderId="4" xfId="3" applyNumberFormat="1" applyFont="1" applyBorder="1" applyAlignment="1"/>
    <xf numFmtId="164" fontId="20" fillId="2" borderId="4" xfId="3" applyNumberFormat="1" applyFont="1" applyBorder="1" applyAlignment="1"/>
    <xf numFmtId="0" fontId="0" fillId="0" borderId="4" xfId="0" applyFont="1" applyFill="1" applyBorder="1" applyAlignment="1"/>
    <xf numFmtId="1" fontId="0" fillId="0" borderId="4" xfId="0" applyNumberFormat="1" applyFont="1" applyBorder="1" applyAlignment="1"/>
    <xf numFmtId="0" fontId="0" fillId="0" borderId="0" xfId="0" applyFont="1" applyBorder="1" applyAlignment="1"/>
    <xf numFmtId="0" fontId="0" fillId="0" borderId="5" xfId="0" applyFont="1" applyFill="1" applyBorder="1" applyAlignment="1"/>
    <xf numFmtId="0" fontId="10" fillId="0" borderId="5" xfId="0" applyFont="1" applyFill="1" applyBorder="1" applyAlignment="1"/>
    <xf numFmtId="164" fontId="16" fillId="0" borderId="5" xfId="0" applyNumberFormat="1" applyFont="1" applyBorder="1" applyAlignment="1"/>
    <xf numFmtId="164" fontId="16" fillId="0" borderId="3" xfId="0" applyNumberFormat="1" applyFont="1" applyBorder="1" applyAlignment="1"/>
    <xf numFmtId="0" fontId="5" fillId="0" borderId="9" xfId="0" applyFont="1" applyBorder="1" applyAlignment="1"/>
    <xf numFmtId="9" fontId="5" fillId="0" borderId="8" xfId="0" applyNumberFormat="1" applyFont="1" applyBorder="1" applyAlignment="1"/>
    <xf numFmtId="9" fontId="5" fillId="0" borderId="4" xfId="0" applyNumberFormat="1" applyFont="1" applyBorder="1" applyAlignment="1"/>
    <xf numFmtId="9" fontId="0" fillId="0" borderId="4" xfId="0" applyNumberFormat="1" applyFont="1" applyBorder="1" applyAlignment="1"/>
    <xf numFmtId="0" fontId="3" fillId="0" borderId="4" xfId="0" applyFont="1" applyBorder="1" applyAlignment="1">
      <alignment horizontal="right"/>
    </xf>
    <xf numFmtId="0" fontId="3" fillId="0" borderId="4" xfId="0" applyFont="1" applyBorder="1" applyAlignment="1"/>
    <xf numFmtId="2" fontId="0" fillId="0" borderId="4" xfId="0" applyNumberFormat="1" applyFont="1" applyBorder="1" applyAlignment="1">
      <alignment horizontal="right"/>
    </xf>
    <xf numFmtId="0" fontId="10" fillId="0" borderId="4" xfId="0" applyFont="1" applyFill="1" applyBorder="1" applyAlignment="1"/>
    <xf numFmtId="0" fontId="3" fillId="0" borderId="0" xfId="0" applyFont="1" applyFill="1" applyBorder="1" applyAlignment="1"/>
  </cellXfs>
  <cellStyles count="4">
    <cellStyle name="Bad" xfId="3" builtinId="27"/>
    <cellStyle name="Hyperlink" xfId="1" builtinId="8"/>
    <cellStyle name="Normal" xfId="0" builtinId="0"/>
    <cellStyle name="Per 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8"/>
  <sheetViews>
    <sheetView tabSelected="1" zoomScale="140" zoomScaleNormal="140" workbookViewId="0">
      <selection activeCell="B26" sqref="B26"/>
    </sheetView>
  </sheetViews>
  <sheetFormatPr baseColWidth="10" defaultColWidth="9.1640625" defaultRowHeight="13"/>
  <cols>
    <col min="1" max="1" width="9.5" bestFit="1" customWidth="1"/>
    <col min="2" max="2" width="43" customWidth="1"/>
    <col min="3" max="4" width="9.5" bestFit="1" customWidth="1"/>
    <col min="5" max="6" width="9.5" style="16" customWidth="1"/>
    <col min="7" max="7" width="9.5" style="16" hidden="1" customWidth="1"/>
    <col min="8" max="8" width="9.5" style="16" customWidth="1"/>
    <col min="10" max="10" width="109" bestFit="1" customWidth="1"/>
    <col min="21" max="21" width="31" style="9" customWidth="1"/>
  </cols>
  <sheetData>
    <row r="1" spans="1:21">
      <c r="A1" s="5" t="s">
        <v>0</v>
      </c>
      <c r="B1" s="4" t="s">
        <v>1</v>
      </c>
      <c r="C1" s="44">
        <v>2018</v>
      </c>
      <c r="D1" s="44">
        <v>2017</v>
      </c>
      <c r="E1" s="4">
        <v>2016</v>
      </c>
      <c r="F1" s="4">
        <v>2015</v>
      </c>
      <c r="G1" s="44">
        <v>2014</v>
      </c>
      <c r="H1" s="33"/>
      <c r="I1" s="26"/>
      <c r="J1" s="1" t="s">
        <v>2</v>
      </c>
      <c r="K1" t="s">
        <v>3</v>
      </c>
      <c r="U1" s="9" t="s">
        <v>4</v>
      </c>
    </row>
    <row r="2" spans="1:21">
      <c r="A2" s="3">
        <v>1</v>
      </c>
      <c r="B2" s="47" t="s">
        <v>5</v>
      </c>
      <c r="C2" s="45">
        <f>4534+1200</f>
        <v>5734</v>
      </c>
      <c r="D2" s="45">
        <f>4067+593</f>
        <v>4660</v>
      </c>
      <c r="E2" s="45">
        <f>3751.5</f>
        <v>3751.5</v>
      </c>
      <c r="F2" s="45">
        <f>3814.4+858</f>
        <v>4672.3999999999996</v>
      </c>
      <c r="G2" s="37">
        <f>3736+2323</f>
        <v>6059</v>
      </c>
      <c r="H2" s="34"/>
      <c r="I2" s="27"/>
      <c r="J2" t="s">
        <v>104</v>
      </c>
      <c r="U2" s="9" t="s">
        <v>6</v>
      </c>
    </row>
    <row r="3" spans="1:21">
      <c r="A3" s="3">
        <v>2</v>
      </c>
      <c r="B3" s="47" t="s">
        <v>7</v>
      </c>
      <c r="C3" s="46">
        <v>6115</v>
      </c>
      <c r="D3" s="46">
        <v>4647.8999999999996</v>
      </c>
      <c r="E3" s="46">
        <v>3343.2</v>
      </c>
      <c r="F3" s="46">
        <v>4403.8</v>
      </c>
      <c r="G3" s="38">
        <v>5767</v>
      </c>
      <c r="H3" s="34"/>
      <c r="I3" s="27"/>
      <c r="J3" t="s">
        <v>8</v>
      </c>
      <c r="K3" s="32"/>
    </row>
    <row r="4" spans="1:21">
      <c r="A4" s="3">
        <v>3</v>
      </c>
      <c r="B4" s="47" t="s">
        <v>9</v>
      </c>
      <c r="C4" s="46">
        <v>58.6</v>
      </c>
      <c r="D4" s="46">
        <v>56.6</v>
      </c>
      <c r="E4" s="46">
        <v>50.9</v>
      </c>
      <c r="F4" s="46">
        <v>42.3</v>
      </c>
      <c r="G4" s="38">
        <v>44</v>
      </c>
      <c r="H4" s="34"/>
      <c r="I4" s="27"/>
      <c r="J4" t="s">
        <v>10</v>
      </c>
    </row>
    <row r="5" spans="1:21">
      <c r="A5" s="3">
        <v>4</v>
      </c>
      <c r="B5" s="47" t="s">
        <v>11</v>
      </c>
      <c r="C5" s="46">
        <v>-553</v>
      </c>
      <c r="D5" s="46">
        <v>-151</v>
      </c>
      <c r="E5" s="46">
        <v>310.60000000000002</v>
      </c>
      <c r="F5" s="46">
        <v>129</v>
      </c>
      <c r="G5" s="38">
        <v>257</v>
      </c>
      <c r="H5" s="34"/>
      <c r="I5" s="27"/>
      <c r="J5" t="s">
        <v>12</v>
      </c>
      <c r="U5" s="9" t="s">
        <v>13</v>
      </c>
    </row>
    <row r="6" spans="1:21">
      <c r="A6" s="3">
        <v>5</v>
      </c>
      <c r="B6" s="47" t="s">
        <v>14</v>
      </c>
      <c r="C6" s="46">
        <v>-2093.5</v>
      </c>
      <c r="D6" s="46">
        <v>-1193.7</v>
      </c>
      <c r="E6" s="46">
        <v>-354.4</v>
      </c>
      <c r="F6" s="46">
        <v>-23.8</v>
      </c>
      <c r="G6" s="38">
        <v>-1.7</v>
      </c>
      <c r="H6" s="34"/>
      <c r="I6" s="27"/>
      <c r="J6" t="s">
        <v>15</v>
      </c>
    </row>
    <row r="7" spans="1:21">
      <c r="A7" s="3">
        <v>6</v>
      </c>
      <c r="B7" s="48" t="s">
        <v>16</v>
      </c>
      <c r="C7" s="52">
        <f>0.025*(C17+C18)</f>
        <v>207.37</v>
      </c>
      <c r="D7" s="52">
        <f>0.025*(D17+D18)</f>
        <v>160.94499999999999</v>
      </c>
      <c r="E7" s="46">
        <v>125.7</v>
      </c>
      <c r="F7" s="46">
        <v>103.9</v>
      </c>
      <c r="G7" s="38">
        <v>106</v>
      </c>
      <c r="H7" s="34"/>
      <c r="I7" s="27"/>
      <c r="J7" s="32" t="s">
        <v>17</v>
      </c>
      <c r="U7" s="10" t="s">
        <v>18</v>
      </c>
    </row>
    <row r="8" spans="1:21">
      <c r="A8" s="3">
        <v>7</v>
      </c>
      <c r="B8" s="48" t="s">
        <v>19</v>
      </c>
      <c r="C8" s="46">
        <v>0.7</v>
      </c>
      <c r="D8" s="46">
        <v>1.4</v>
      </c>
      <c r="E8" s="46">
        <v>2.1</v>
      </c>
      <c r="F8" s="46">
        <v>6.4</v>
      </c>
      <c r="G8" s="38">
        <v>13</v>
      </c>
      <c r="H8" s="34"/>
      <c r="I8" s="27"/>
      <c r="J8" s="32" t="s">
        <v>20</v>
      </c>
      <c r="U8" s="9" t="s">
        <v>21</v>
      </c>
    </row>
    <row r="9" spans="1:21">
      <c r="A9" s="3">
        <v>8</v>
      </c>
      <c r="B9" s="47" t="s">
        <v>22</v>
      </c>
      <c r="C9" s="46">
        <v>2187.1999999999998</v>
      </c>
      <c r="D9" s="46">
        <v>2267.6</v>
      </c>
      <c r="E9" s="46">
        <v>1752.6</v>
      </c>
      <c r="F9" s="46">
        <v>2018</v>
      </c>
      <c r="G9" s="38">
        <v>1736</v>
      </c>
      <c r="H9" s="34"/>
      <c r="I9" s="27"/>
      <c r="J9" t="s">
        <v>23</v>
      </c>
    </row>
    <row r="10" spans="1:21">
      <c r="A10" s="3">
        <v>9</v>
      </c>
      <c r="B10" s="47" t="s">
        <v>24</v>
      </c>
      <c r="C10" s="50">
        <v>267.10000000000002</v>
      </c>
      <c r="D10" s="50">
        <v>244.9</v>
      </c>
      <c r="E10" s="50">
        <v>203.9</v>
      </c>
      <c r="F10" s="50">
        <v>203.8</v>
      </c>
      <c r="G10" s="39">
        <v>173</v>
      </c>
      <c r="H10" s="35"/>
      <c r="I10" s="27"/>
      <c r="J10" s="32" t="s">
        <v>105</v>
      </c>
    </row>
    <row r="11" spans="1:21">
      <c r="A11" s="3">
        <v>10</v>
      </c>
      <c r="B11" s="48" t="s">
        <v>25</v>
      </c>
      <c r="C11" s="46">
        <v>2284.3000000000002</v>
      </c>
      <c r="D11" s="46">
        <v>1737.9</v>
      </c>
      <c r="E11" s="46">
        <v>1608.7</v>
      </c>
      <c r="F11" s="46">
        <v>1322.3</v>
      </c>
      <c r="G11" s="38">
        <v>1140</v>
      </c>
      <c r="H11" s="34"/>
      <c r="I11" s="27"/>
      <c r="J11" s="32" t="s">
        <v>106</v>
      </c>
      <c r="K11" s="2"/>
    </row>
    <row r="12" spans="1:21">
      <c r="A12" s="3">
        <v>11</v>
      </c>
      <c r="B12" s="47" t="s">
        <v>26</v>
      </c>
      <c r="C12" s="46">
        <v>9563.7999999999993</v>
      </c>
      <c r="D12" s="46">
        <v>8978.2999999999993</v>
      </c>
      <c r="E12" s="46">
        <v>8259.2999999999993</v>
      </c>
      <c r="F12" s="46">
        <v>8299.6</v>
      </c>
      <c r="G12" s="38">
        <v>7933</v>
      </c>
      <c r="H12" s="34"/>
      <c r="I12" s="28"/>
      <c r="J12" t="s">
        <v>27</v>
      </c>
    </row>
    <row r="13" spans="1:21">
      <c r="A13" s="3">
        <v>12</v>
      </c>
      <c r="B13" s="47" t="s">
        <v>28</v>
      </c>
      <c r="C13" s="46">
        <v>258.10000000000002</v>
      </c>
      <c r="D13" s="46">
        <v>529.70000000000005</v>
      </c>
      <c r="E13" s="46">
        <v>271</v>
      </c>
      <c r="F13" s="46">
        <v>748.4</v>
      </c>
      <c r="G13" s="38">
        <v>553.5</v>
      </c>
      <c r="H13" s="34"/>
      <c r="I13" s="71"/>
      <c r="J13" s="32" t="s">
        <v>29</v>
      </c>
      <c r="K13" s="2"/>
    </row>
    <row r="14" spans="1:21">
      <c r="A14" s="3">
        <v>13</v>
      </c>
      <c r="B14" s="47" t="s">
        <v>30</v>
      </c>
      <c r="C14" s="51">
        <v>10.8</v>
      </c>
      <c r="D14" s="51">
        <v>8</v>
      </c>
      <c r="E14" s="46">
        <v>6.5</v>
      </c>
      <c r="F14" s="46">
        <v>5.3</v>
      </c>
      <c r="G14" s="38">
        <v>4.5999999999999996</v>
      </c>
      <c r="H14" s="34"/>
      <c r="I14" s="27"/>
      <c r="J14" s="32" t="s">
        <v>107</v>
      </c>
    </row>
    <row r="15" spans="1:21">
      <c r="A15" s="3">
        <v>14</v>
      </c>
      <c r="B15" s="47" t="s">
        <v>31</v>
      </c>
      <c r="C15" s="51">
        <v>11845.3</v>
      </c>
      <c r="D15" s="51">
        <v>11551.5</v>
      </c>
      <c r="E15" s="46">
        <v>10972</v>
      </c>
      <c r="F15" s="46">
        <v>10095.700000000001</v>
      </c>
      <c r="G15" s="38">
        <v>9146</v>
      </c>
      <c r="H15" s="34"/>
      <c r="I15" s="27"/>
      <c r="J15" s="32" t="s">
        <v>32</v>
      </c>
    </row>
    <row r="16" spans="1:21">
      <c r="A16" s="3">
        <v>15</v>
      </c>
      <c r="B16" s="47" t="s">
        <v>33</v>
      </c>
      <c r="C16" s="46">
        <v>4598.6000000000004</v>
      </c>
      <c r="D16" s="46">
        <v>3145</v>
      </c>
      <c r="E16" s="46">
        <v>2291.6999999999998</v>
      </c>
      <c r="F16" s="46">
        <v>2344.8000000000002</v>
      </c>
      <c r="G16" s="38">
        <v>1881</v>
      </c>
      <c r="H16" s="34"/>
      <c r="I16" s="27"/>
    </row>
    <row r="17" spans="1:21">
      <c r="A17" s="3">
        <v>16</v>
      </c>
      <c r="B17" s="47" t="s">
        <v>34</v>
      </c>
      <c r="C17" s="51">
        <v>1761.6</v>
      </c>
      <c r="D17" s="51">
        <v>1065.9000000000001</v>
      </c>
      <c r="E17" s="46">
        <v>624.70000000000005</v>
      </c>
      <c r="F17" s="46">
        <v>556.70000000000005</v>
      </c>
      <c r="G17" s="38">
        <v>297.7</v>
      </c>
      <c r="H17" s="34"/>
      <c r="I17" s="28"/>
      <c r="J17" s="32" t="s">
        <v>35</v>
      </c>
      <c r="U17" s="9" t="s">
        <v>36</v>
      </c>
    </row>
    <row r="18" spans="1:21">
      <c r="A18" s="3">
        <v>17</v>
      </c>
      <c r="B18" s="47" t="s">
        <v>37</v>
      </c>
      <c r="C18" s="51">
        <v>6533.2</v>
      </c>
      <c r="D18" s="51">
        <v>5371.9</v>
      </c>
      <c r="E18" s="46">
        <v>4413.5</v>
      </c>
      <c r="F18" s="46">
        <v>4123.2</v>
      </c>
      <c r="G18" s="38">
        <v>4292.1000000000004</v>
      </c>
      <c r="H18" s="34"/>
      <c r="I18" s="28"/>
      <c r="J18" s="32" t="s">
        <v>38</v>
      </c>
    </row>
    <row r="19" spans="1:21">
      <c r="A19" s="3">
        <v>18</v>
      </c>
      <c r="B19" s="47" t="s">
        <v>39</v>
      </c>
      <c r="C19" s="46">
        <v>-248.3</v>
      </c>
      <c r="D19" s="46">
        <v>917.6</v>
      </c>
      <c r="E19" s="46">
        <v>1209.3</v>
      </c>
      <c r="F19" s="46">
        <v>1204.9000000000001</v>
      </c>
      <c r="G19" s="38">
        <v>1156.9000000000001</v>
      </c>
      <c r="H19" s="34"/>
      <c r="I19" s="29"/>
      <c r="J19" s="32" t="s">
        <v>40</v>
      </c>
      <c r="U19" s="9" t="s">
        <v>41</v>
      </c>
    </row>
    <row r="20" spans="1:21">
      <c r="A20" s="3">
        <v>19</v>
      </c>
      <c r="B20" s="47" t="s">
        <v>42</v>
      </c>
      <c r="C20" s="46">
        <v>-356.4</v>
      </c>
      <c r="D20" s="46">
        <v>51.7</v>
      </c>
      <c r="E20" s="46">
        <v>67.2</v>
      </c>
      <c r="F20" s="46">
        <v>337.6</v>
      </c>
      <c r="G20" s="38">
        <v>29.1</v>
      </c>
      <c r="H20" s="34"/>
      <c r="I20" s="27"/>
      <c r="J20" t="s">
        <v>43</v>
      </c>
    </row>
    <row r="21" spans="1:21">
      <c r="A21" s="3">
        <v>20</v>
      </c>
      <c r="B21" s="48" t="s">
        <v>44</v>
      </c>
      <c r="C21" s="52">
        <f>C17+C18+25</f>
        <v>8319.7999999999993</v>
      </c>
      <c r="D21" s="52">
        <f>D17+D18+25</f>
        <v>6462.7999999999993</v>
      </c>
      <c r="E21" s="46">
        <f>E17+E18+26.7</f>
        <v>5064.8999999999996</v>
      </c>
      <c r="F21" s="46">
        <f>F17+F18+24.5</f>
        <v>4704.3999999999996</v>
      </c>
      <c r="G21" s="38">
        <f>G17+G18+23.6</f>
        <v>4613.4000000000005</v>
      </c>
      <c r="H21" s="34"/>
      <c r="I21" s="27"/>
      <c r="J21" s="32" t="s">
        <v>45</v>
      </c>
      <c r="K21" s="32" t="s">
        <v>46</v>
      </c>
      <c r="U21" s="9" t="s">
        <v>47</v>
      </c>
    </row>
    <row r="22" spans="1:21">
      <c r="A22" s="3">
        <v>21</v>
      </c>
      <c r="B22" s="48" t="s">
        <v>48</v>
      </c>
      <c r="C22" s="42">
        <v>0.3</v>
      </c>
      <c r="D22" s="42">
        <v>0.3</v>
      </c>
      <c r="E22" s="42">
        <v>0.3</v>
      </c>
      <c r="F22" s="42">
        <v>0.3</v>
      </c>
      <c r="G22" s="43">
        <v>0.3</v>
      </c>
      <c r="H22" s="36"/>
      <c r="I22" s="30"/>
      <c r="J22" t="s">
        <v>49</v>
      </c>
      <c r="K22" s="32"/>
    </row>
    <row r="23" spans="1:21">
      <c r="A23" s="3">
        <v>22</v>
      </c>
      <c r="B23" s="49" t="s">
        <v>50</v>
      </c>
      <c r="C23" s="40">
        <f>C5+C8</f>
        <v>-552.29999999999995</v>
      </c>
      <c r="D23" s="40">
        <f>D5+D8</f>
        <v>-149.6</v>
      </c>
      <c r="E23" s="40">
        <f>E5+E8</f>
        <v>312.70000000000005</v>
      </c>
      <c r="F23" s="40">
        <f>F5+F8</f>
        <v>135.4</v>
      </c>
      <c r="G23" s="41">
        <f t="shared" ref="G23" si="0">G5+G8</f>
        <v>270</v>
      </c>
      <c r="H23" s="34"/>
      <c r="I23" s="27"/>
    </row>
    <row r="24" spans="1:21">
      <c r="A24" s="3">
        <v>23</v>
      </c>
      <c r="B24" s="49" t="s">
        <v>51</v>
      </c>
      <c r="C24" s="40">
        <f t="shared" ref="C24:F24" si="1">C23*(1-C22)</f>
        <v>-386.60999999999996</v>
      </c>
      <c r="D24" s="40">
        <f t="shared" si="1"/>
        <v>-104.71999999999998</v>
      </c>
      <c r="E24" s="40">
        <f t="shared" si="1"/>
        <v>218.89000000000001</v>
      </c>
      <c r="F24" s="40">
        <f t="shared" si="1"/>
        <v>94.78</v>
      </c>
      <c r="G24" s="41">
        <f t="shared" ref="G24" si="2">G23*(1-G22)</f>
        <v>189</v>
      </c>
      <c r="H24" s="34"/>
      <c r="I24" s="27"/>
    </row>
    <row r="25" spans="1:21">
      <c r="A25" s="3">
        <v>24</v>
      </c>
      <c r="B25" s="49" t="s">
        <v>52</v>
      </c>
      <c r="C25" s="40">
        <f t="shared" ref="C25:G25" si="3">C12-C16+C17</f>
        <v>6726.7999999999993</v>
      </c>
      <c r="D25" s="40">
        <f t="shared" si="3"/>
        <v>6899.1999999999989</v>
      </c>
      <c r="E25" s="40">
        <f t="shared" si="3"/>
        <v>6592.2999999999993</v>
      </c>
      <c r="F25" s="40">
        <f t="shared" si="3"/>
        <v>6511.5</v>
      </c>
      <c r="G25" s="41">
        <f t="shared" si="3"/>
        <v>6349.7</v>
      </c>
      <c r="H25" s="34"/>
      <c r="I25" s="28"/>
      <c r="J25" t="s">
        <v>108</v>
      </c>
    </row>
    <row r="26" spans="1:21">
      <c r="A26" s="3">
        <v>25</v>
      </c>
      <c r="B26" s="49" t="s">
        <v>53</v>
      </c>
      <c r="C26" s="40">
        <f>(C25+D25)/2</f>
        <v>6812.9999999999991</v>
      </c>
      <c r="D26" s="40">
        <f t="shared" ref="D26:G26" si="4">(D25+E25)/2</f>
        <v>6745.7499999999991</v>
      </c>
      <c r="E26" s="40">
        <f t="shared" si="4"/>
        <v>6551.9</v>
      </c>
      <c r="F26" s="40">
        <f t="shared" si="4"/>
        <v>6430.6</v>
      </c>
      <c r="G26" s="41">
        <f t="shared" si="4"/>
        <v>3174.85</v>
      </c>
      <c r="H26" s="34"/>
      <c r="I26" s="27"/>
      <c r="J26" t="s">
        <v>54</v>
      </c>
    </row>
    <row r="27" spans="1:21">
      <c r="A27" s="3">
        <v>26</v>
      </c>
      <c r="B27" s="49" t="s">
        <v>55</v>
      </c>
      <c r="C27" s="40">
        <f>(C19+D19)/2</f>
        <v>334.65</v>
      </c>
      <c r="D27" s="40">
        <f t="shared" ref="D27:G27" si="5">(D19+E19)/2</f>
        <v>1063.45</v>
      </c>
      <c r="E27" s="40">
        <f t="shared" si="5"/>
        <v>1207.0999999999999</v>
      </c>
      <c r="F27" s="40">
        <f t="shared" si="5"/>
        <v>1180.9000000000001</v>
      </c>
      <c r="G27" s="41">
        <f t="shared" si="5"/>
        <v>578.45000000000005</v>
      </c>
      <c r="H27" s="34"/>
      <c r="I27" s="27"/>
    </row>
    <row r="28" spans="1:21">
      <c r="A28" s="3">
        <v>27</v>
      </c>
      <c r="B28" s="49" t="s">
        <v>56</v>
      </c>
      <c r="C28" s="40">
        <f>(C15+D15)/2</f>
        <v>11698.4</v>
      </c>
      <c r="D28" s="40">
        <f t="shared" ref="D28:G28" si="6">(D15+E15)/2</f>
        <v>11261.75</v>
      </c>
      <c r="E28" s="40">
        <f t="shared" si="6"/>
        <v>10533.85</v>
      </c>
      <c r="F28" s="40">
        <f t="shared" si="6"/>
        <v>9620.85</v>
      </c>
      <c r="G28" s="41">
        <f t="shared" si="6"/>
        <v>4573</v>
      </c>
      <c r="H28" s="34"/>
      <c r="I28" s="27"/>
      <c r="J28" t="s">
        <v>57</v>
      </c>
    </row>
    <row r="29" spans="1:21">
      <c r="A29" s="3">
        <v>28</v>
      </c>
      <c r="B29" s="49" t="s">
        <v>58</v>
      </c>
      <c r="C29" s="40">
        <f>(C10+D10)/2</f>
        <v>256</v>
      </c>
      <c r="D29" s="40">
        <f t="shared" ref="D29:G29" si="7">(D10+E10)/2</f>
        <v>224.4</v>
      </c>
      <c r="E29" s="40">
        <f t="shared" si="7"/>
        <v>203.85000000000002</v>
      </c>
      <c r="F29" s="40">
        <f t="shared" si="7"/>
        <v>188.4</v>
      </c>
      <c r="G29" s="41">
        <f t="shared" si="7"/>
        <v>86.5</v>
      </c>
      <c r="H29" s="34"/>
      <c r="I29" s="27"/>
      <c r="J29" t="s">
        <v>59</v>
      </c>
    </row>
    <row r="30" spans="1:21">
      <c r="A30" s="58">
        <v>29</v>
      </c>
      <c r="B30" s="49" t="s">
        <v>60</v>
      </c>
      <c r="C30" s="40">
        <f>(C11+D11)/2</f>
        <v>2011.1000000000001</v>
      </c>
      <c r="D30" s="40">
        <f t="shared" ref="D30:G30" si="8">(D11+E11)/2</f>
        <v>1673.3000000000002</v>
      </c>
      <c r="E30" s="40">
        <f t="shared" si="8"/>
        <v>1465.5</v>
      </c>
      <c r="F30" s="40">
        <f t="shared" si="8"/>
        <v>1231.1500000000001</v>
      </c>
      <c r="G30" s="41">
        <f t="shared" si="8"/>
        <v>570</v>
      </c>
      <c r="H30" s="34"/>
      <c r="I30" s="31"/>
      <c r="J30" t="s">
        <v>61</v>
      </c>
    </row>
    <row r="31" spans="1:21">
      <c r="A31" s="59">
        <v>30</v>
      </c>
      <c r="B31" s="60" t="s">
        <v>62</v>
      </c>
      <c r="C31" s="61">
        <v>12031</v>
      </c>
      <c r="D31" s="61">
        <v>12388</v>
      </c>
      <c r="E31" s="61">
        <v>12524</v>
      </c>
      <c r="F31" s="61">
        <v>12288</v>
      </c>
      <c r="G31" s="62">
        <v>12749</v>
      </c>
      <c r="J31" t="s">
        <v>63</v>
      </c>
    </row>
    <row r="32" spans="1:21">
      <c r="E32"/>
      <c r="F32"/>
      <c r="G32"/>
    </row>
    <row r="33" spans="1:21" ht="14" thickBot="1">
      <c r="A33" s="32" t="s">
        <v>64</v>
      </c>
      <c r="B33" s="70" t="s">
        <v>1</v>
      </c>
      <c r="C33" s="5">
        <v>2018</v>
      </c>
      <c r="D33" s="5">
        <v>2017</v>
      </c>
      <c r="E33" s="5">
        <v>2016</v>
      </c>
      <c r="F33" s="5">
        <v>2015</v>
      </c>
      <c r="G33"/>
    </row>
    <row r="34" spans="1:21" s="13" customFormat="1" ht="14" thickBot="1">
      <c r="A34" s="64">
        <v>0.06</v>
      </c>
      <c r="B34" s="63" t="s">
        <v>65</v>
      </c>
      <c r="C34" s="12">
        <f t="shared" ref="C34:D34" si="9">C24/C26</f>
        <v>-5.674592690444738E-2</v>
      </c>
      <c r="D34" s="12">
        <f t="shared" si="9"/>
        <v>-1.5523848348960456E-2</v>
      </c>
      <c r="E34" s="12">
        <f t="shared" ref="E34:F34" si="10">E24/E26</f>
        <v>3.3408629557838188E-2</v>
      </c>
      <c r="F34" s="12">
        <f t="shared" si="10"/>
        <v>1.4738904612322334E-2</v>
      </c>
      <c r="G34" s="12">
        <f t="shared" ref="G34" si="11">G24/G26</f>
        <v>5.9530371513614816E-2</v>
      </c>
      <c r="H34" s="15"/>
      <c r="U34" s="14"/>
    </row>
    <row r="35" spans="1:21">
      <c r="E35"/>
      <c r="F35"/>
      <c r="G35"/>
    </row>
    <row r="36" spans="1:21" s="13" customFormat="1">
      <c r="A36" s="65" t="e">
        <f>#REF!</f>
        <v>#REF!</v>
      </c>
      <c r="B36" s="11" t="s">
        <v>66</v>
      </c>
      <c r="C36" s="12">
        <f t="shared" ref="C36:D36" si="12">C6/C27</f>
        <v>-6.2557896309577172</v>
      </c>
      <c r="D36" s="12">
        <f t="shared" si="12"/>
        <v>-1.1224787249047909</v>
      </c>
      <c r="E36" s="12">
        <f t="shared" ref="E36:F36" si="13">E6/E27</f>
        <v>-0.2935962223510894</v>
      </c>
      <c r="F36" s="12">
        <f t="shared" si="13"/>
        <v>-2.0154119739181978E-2</v>
      </c>
      <c r="G36" s="12">
        <f t="shared" ref="G36" si="14">G6/G27</f>
        <v>-2.9388884086783643E-3</v>
      </c>
      <c r="H36" s="15"/>
      <c r="J36" t="s">
        <v>67</v>
      </c>
      <c r="U36" s="14"/>
    </row>
    <row r="37" spans="1:21">
      <c r="A37" s="5"/>
      <c r="B37" s="5" t="s">
        <v>68</v>
      </c>
      <c r="C37" s="6">
        <f t="shared" ref="C37:D37" si="15">C24/C2</f>
        <v>-6.7424136728287398E-2</v>
      </c>
      <c r="D37" s="6">
        <f t="shared" si="15"/>
        <v>-2.2472103004291841E-2</v>
      </c>
      <c r="E37" s="6">
        <f t="shared" ref="E37:F37" si="16">E24/E2</f>
        <v>5.8347327735572441E-2</v>
      </c>
      <c r="F37" s="6">
        <f t="shared" si="16"/>
        <v>2.0285078332334561E-2</v>
      </c>
      <c r="G37" s="6">
        <f t="shared" ref="G37" si="17">G24/G2</f>
        <v>3.1193266215547119E-2</v>
      </c>
    </row>
    <row r="38" spans="1:21">
      <c r="A38" s="66">
        <v>0.6</v>
      </c>
      <c r="B38" s="5" t="s">
        <v>69</v>
      </c>
      <c r="C38" s="6">
        <f t="shared" ref="C38:D38" si="18">C3/C2</f>
        <v>1.0664457621206835</v>
      </c>
      <c r="D38" s="6">
        <f t="shared" si="18"/>
        <v>0.99740343347639482</v>
      </c>
      <c r="E38" s="6">
        <f t="shared" ref="E38:F38" si="19">E3/E2</f>
        <v>0.89116353458616548</v>
      </c>
      <c r="F38" s="6">
        <f t="shared" si="19"/>
        <v>0.94251348343463759</v>
      </c>
      <c r="G38" s="6">
        <f t="shared" ref="G38" si="20">G3/G2</f>
        <v>0.95180722891566261</v>
      </c>
      <c r="J38" t="s">
        <v>70</v>
      </c>
    </row>
    <row r="39" spans="1:21">
      <c r="A39" s="66">
        <v>0.02</v>
      </c>
      <c r="B39" s="5" t="s">
        <v>71</v>
      </c>
      <c r="C39" s="6">
        <f t="shared" ref="C39:D39" si="21">C4/C2</f>
        <v>1.0219741890477852E-2</v>
      </c>
      <c r="D39" s="6">
        <f t="shared" si="21"/>
        <v>1.2145922746781116E-2</v>
      </c>
      <c r="E39" s="6">
        <f t="shared" ref="E39:F39" si="22">E4/E2</f>
        <v>1.3567906170864986E-2</v>
      </c>
      <c r="F39" s="6">
        <f t="shared" si="22"/>
        <v>9.0531632565704987E-3</v>
      </c>
      <c r="G39" s="6">
        <f t="shared" ref="G39" si="23">G4/G2</f>
        <v>7.2619244099686418E-3</v>
      </c>
      <c r="J39" t="s">
        <v>72</v>
      </c>
    </row>
    <row r="40" spans="1:21">
      <c r="A40" s="5"/>
      <c r="B40" s="5" t="s">
        <v>73</v>
      </c>
      <c r="C40" s="7">
        <f t="shared" ref="C40:D40" si="24">C2/C26</f>
        <v>0.84162630265668581</v>
      </c>
      <c r="D40" s="7">
        <f t="shared" si="24"/>
        <v>0.6908053218693252</v>
      </c>
      <c r="E40" s="7">
        <f t="shared" ref="E40:F40" si="25">E2/E26</f>
        <v>0.5725819991147606</v>
      </c>
      <c r="F40" s="7">
        <f t="shared" si="25"/>
        <v>0.72658849874039733</v>
      </c>
      <c r="G40" s="7">
        <f t="shared" ref="G40" si="26">G2/G26</f>
        <v>1.9084366190528688</v>
      </c>
      <c r="H40" s="16" t="s">
        <v>74</v>
      </c>
      <c r="J40" t="s">
        <v>75</v>
      </c>
    </row>
    <row r="41" spans="1:21">
      <c r="A41" s="67" t="s">
        <v>76</v>
      </c>
      <c r="B41" s="5" t="s">
        <v>77</v>
      </c>
      <c r="C41" s="7">
        <f t="shared" ref="C41:D42" si="27">C2/C28</f>
        <v>0.49015249948710937</v>
      </c>
      <c r="D41" s="7">
        <f t="shared" si="27"/>
        <v>0.41379004151219839</v>
      </c>
      <c r="E41" s="7">
        <f t="shared" ref="E41:F41" si="28">E2/E28</f>
        <v>0.35613759451672466</v>
      </c>
      <c r="F41" s="7">
        <f t="shared" si="28"/>
        <v>0.48565355451961101</v>
      </c>
      <c r="G41" s="7">
        <f t="shared" ref="G41" si="29">G2/G28</f>
        <v>1.3249507981631314</v>
      </c>
      <c r="H41" s="16" t="s">
        <v>74</v>
      </c>
      <c r="J41" t="s">
        <v>78</v>
      </c>
    </row>
    <row r="42" spans="1:21">
      <c r="A42" s="57" t="e">
        <f>365/A43</f>
        <v>#REF!</v>
      </c>
      <c r="B42" s="5" t="s">
        <v>79</v>
      </c>
      <c r="C42" s="7">
        <f t="shared" si="27"/>
        <v>23.88671875</v>
      </c>
      <c r="D42" s="7">
        <f t="shared" si="27"/>
        <v>20.712566844919785</v>
      </c>
      <c r="E42" s="7">
        <f t="shared" ref="E42:F42" si="30">E3/E29</f>
        <v>16.400294334069166</v>
      </c>
      <c r="F42" s="7">
        <f t="shared" si="30"/>
        <v>23.374734607218684</v>
      </c>
      <c r="G42" s="7">
        <f t="shared" ref="G42" si="31">G3/G29</f>
        <v>66.670520231213871</v>
      </c>
      <c r="H42" s="16" t="s">
        <v>74</v>
      </c>
    </row>
    <row r="43" spans="1:21">
      <c r="A43" s="68" t="e">
        <f>#REF!</f>
        <v>#REF!</v>
      </c>
      <c r="B43" s="5" t="s">
        <v>80</v>
      </c>
      <c r="C43" s="8">
        <f t="shared" ref="C43:D43" si="32">365/C42</f>
        <v>15.280457890433361</v>
      </c>
      <c r="D43" s="8">
        <f t="shared" si="32"/>
        <v>17.622151939585621</v>
      </c>
      <c r="E43" s="8">
        <f t="shared" ref="E43:F43" si="33">365/E42</f>
        <v>22.255698133524771</v>
      </c>
      <c r="F43" s="8">
        <f t="shared" si="33"/>
        <v>15.615150551796175</v>
      </c>
      <c r="G43" s="8">
        <f t="shared" ref="G43" si="34">365/G42</f>
        <v>5.4746835443037973</v>
      </c>
      <c r="H43" s="16" t="s">
        <v>81</v>
      </c>
    </row>
    <row r="44" spans="1:21">
      <c r="A44" s="57" t="e">
        <f>365/A45</f>
        <v>#REF!</v>
      </c>
      <c r="B44" s="5" t="s">
        <v>82</v>
      </c>
      <c r="C44" s="54">
        <f t="shared" ref="C44:G44" si="35">C2/C30</f>
        <v>2.8511759733479187</v>
      </c>
      <c r="D44" s="54">
        <f t="shared" si="35"/>
        <v>2.7849160341839476</v>
      </c>
      <c r="E44" s="54">
        <f t="shared" si="35"/>
        <v>2.5598771750255884</v>
      </c>
      <c r="F44" s="54">
        <f t="shared" si="35"/>
        <v>3.7951508751979852</v>
      </c>
      <c r="G44" s="7">
        <f t="shared" si="35"/>
        <v>10.62982456140351</v>
      </c>
      <c r="H44" s="16" t="s">
        <v>74</v>
      </c>
    </row>
    <row r="45" spans="1:21">
      <c r="A45" s="68" t="e">
        <f>#REF!</f>
        <v>#REF!</v>
      </c>
      <c r="B45" s="5" t="s">
        <v>83</v>
      </c>
      <c r="C45" s="55">
        <f t="shared" ref="C45:G45" si="36">365/C44</f>
        <v>128.01735263341473</v>
      </c>
      <c r="D45" s="55">
        <f t="shared" si="36"/>
        <v>131.06319742489271</v>
      </c>
      <c r="E45" s="55">
        <f t="shared" si="36"/>
        <v>142.58496601359457</v>
      </c>
      <c r="F45" s="55">
        <f t="shared" si="36"/>
        <v>96.175359558257014</v>
      </c>
      <c r="G45" s="8">
        <f t="shared" si="36"/>
        <v>34.337349397590359</v>
      </c>
      <c r="H45" s="16" t="s">
        <v>81</v>
      </c>
    </row>
    <row r="46" spans="1:21">
      <c r="A46" s="5"/>
      <c r="B46" s="5" t="s">
        <v>84</v>
      </c>
      <c r="C46" s="6">
        <f t="shared" ref="C46:G46" si="37">C11/C2</f>
        <v>0.39837809557028253</v>
      </c>
      <c r="D46" s="6">
        <f t="shared" si="37"/>
        <v>0.37293991416309014</v>
      </c>
      <c r="E46" s="6">
        <f t="shared" si="37"/>
        <v>0.42881514061042253</v>
      </c>
      <c r="F46" s="6">
        <f t="shared" si="37"/>
        <v>0.28300231144593785</v>
      </c>
      <c r="G46" s="6">
        <f t="shared" si="37"/>
        <v>0.18814985971282389</v>
      </c>
    </row>
    <row r="47" spans="1:21">
      <c r="A47" s="69" t="e">
        <f>#REF!</f>
        <v>#REF!</v>
      </c>
      <c r="B47" s="5" t="s">
        <v>85</v>
      </c>
      <c r="C47" s="7">
        <f t="shared" ref="C47:D47" si="38">C9/C16</f>
        <v>0.47562301570043047</v>
      </c>
      <c r="D47" s="7">
        <f t="shared" si="38"/>
        <v>0.72101748807631161</v>
      </c>
      <c r="E47" s="7">
        <f t="shared" ref="E47:F47" si="39">E9/E16</f>
        <v>0.76475978531221367</v>
      </c>
      <c r="F47" s="7">
        <f t="shared" si="39"/>
        <v>0.86062777209143626</v>
      </c>
      <c r="G47" s="7">
        <f t="shared" ref="G47" si="40">G9/G16</f>
        <v>0.92291334396597557</v>
      </c>
      <c r="H47" s="16" t="s">
        <v>74</v>
      </c>
    </row>
    <row r="48" spans="1:21">
      <c r="A48" s="69" t="e">
        <f>#REF!</f>
        <v>#REF!</v>
      </c>
      <c r="B48" s="5" t="s">
        <v>86</v>
      </c>
      <c r="C48" s="54">
        <f t="shared" ref="C48:D48" si="41">(C13+C14+C11)/C16</f>
        <v>0.55521245596485891</v>
      </c>
      <c r="D48" s="54">
        <f t="shared" si="41"/>
        <v>0.72356120826709069</v>
      </c>
      <c r="E48" s="54">
        <f t="shared" ref="E48:F48" si="42">(E13+E14+E11)/E16</f>
        <v>0.82305711916917579</v>
      </c>
      <c r="F48" s="54">
        <f t="shared" si="42"/>
        <v>0.88536335721596715</v>
      </c>
      <c r="G48" s="7">
        <f t="shared" ref="G48" si="43">(G13+G14+G11)/G16</f>
        <v>0.90276448697501321</v>
      </c>
      <c r="H48" s="16" t="s">
        <v>74</v>
      </c>
    </row>
    <row r="49" spans="1:21">
      <c r="A49" s="69" t="e">
        <f>#REF!</f>
        <v>#REF!</v>
      </c>
      <c r="B49" s="5" t="s">
        <v>87</v>
      </c>
      <c r="C49" s="54">
        <f t="shared" ref="C49:G49" si="44">C21/C19</f>
        <v>-33.507047925896089</v>
      </c>
      <c r="D49" s="54">
        <f t="shared" si="44"/>
        <v>7.0431560592850904</v>
      </c>
      <c r="E49" s="54">
        <f t="shared" si="44"/>
        <v>4.1882907467129744</v>
      </c>
      <c r="F49" s="54">
        <f t="shared" si="44"/>
        <v>3.9043904058428081</v>
      </c>
      <c r="G49" s="7">
        <f t="shared" si="44"/>
        <v>3.9877258189990492</v>
      </c>
      <c r="H49" s="16" t="s">
        <v>74</v>
      </c>
    </row>
    <row r="50" spans="1:21">
      <c r="A50" s="69" t="e">
        <f>#REF!</f>
        <v>#REF!</v>
      </c>
      <c r="B50" s="5" t="s">
        <v>88</v>
      </c>
      <c r="C50" s="55">
        <f t="shared" ref="C50:D50" si="45">C5/C7</f>
        <v>-2.6667309639774315</v>
      </c>
      <c r="D50" s="55">
        <f t="shared" si="45"/>
        <v>-0.93820870483705621</v>
      </c>
      <c r="E50" s="55">
        <f t="shared" ref="E50:F50" si="46">E5/E7</f>
        <v>2.4709626093874304</v>
      </c>
      <c r="F50" s="55">
        <f t="shared" si="46"/>
        <v>1.2415784408084696</v>
      </c>
      <c r="G50" s="8">
        <f t="shared" ref="G50" si="47">G5/G7</f>
        <v>2.4245283018867925</v>
      </c>
      <c r="H50" s="16" t="s">
        <v>74</v>
      </c>
    </row>
    <row r="51" spans="1:21">
      <c r="A51" s="5"/>
      <c r="B51" s="5" t="s">
        <v>89</v>
      </c>
      <c r="C51" s="7">
        <f t="shared" ref="C51:D51" si="48">C6/C24</f>
        <v>5.4150177181138623</v>
      </c>
      <c r="D51" s="7">
        <f t="shared" si="48"/>
        <v>11.398968678380445</v>
      </c>
      <c r="E51" s="7">
        <f t="shared" ref="E51:F51" si="49">E6/E24</f>
        <v>-1.6190780757458081</v>
      </c>
      <c r="F51" s="7">
        <f t="shared" si="49"/>
        <v>-0.25110782865583459</v>
      </c>
      <c r="G51" s="7">
        <f t="shared" ref="G51" si="50">G6/G24</f>
        <v>-8.9947089947089946E-3</v>
      </c>
    </row>
    <row r="52" spans="1:21">
      <c r="A52" s="5"/>
      <c r="B52" s="5" t="s">
        <v>90</v>
      </c>
      <c r="C52" s="7">
        <f t="shared" ref="C52:D52" si="51">C26/C27</f>
        <v>20.358583594800535</v>
      </c>
      <c r="D52" s="7">
        <f t="shared" si="51"/>
        <v>6.3432695472283598</v>
      </c>
      <c r="E52" s="7">
        <f t="shared" ref="E52:F52" si="52">E26/E27</f>
        <v>5.42780217049126</v>
      </c>
      <c r="F52" s="7">
        <f t="shared" si="52"/>
        <v>5.4455076636463717</v>
      </c>
      <c r="G52" s="7">
        <f t="shared" ref="G52" si="53">G26/G27</f>
        <v>5.4885469789955907</v>
      </c>
    </row>
    <row r="53" spans="1:21">
      <c r="A53" s="68">
        <f>1350*3</f>
        <v>4050</v>
      </c>
      <c r="B53" s="56" t="s">
        <v>91</v>
      </c>
      <c r="C53" s="57">
        <f>C2/C31*1000</f>
        <v>476.60211121270049</v>
      </c>
      <c r="D53" s="57">
        <f t="shared" ref="D53:G53" si="54">D2/D31*1000</f>
        <v>376.17048756861476</v>
      </c>
      <c r="E53" s="57">
        <f t="shared" si="54"/>
        <v>299.54487384222296</v>
      </c>
      <c r="F53" s="57">
        <f t="shared" si="54"/>
        <v>380.24088541666663</v>
      </c>
      <c r="G53" s="57">
        <f t="shared" si="54"/>
        <v>475.25296101655027</v>
      </c>
    </row>
    <row r="54" spans="1:21">
      <c r="B54" s="17"/>
      <c r="C54" s="17"/>
      <c r="D54" s="17"/>
      <c r="F54" s="18"/>
      <c r="G54" s="18"/>
      <c r="H54" s="18"/>
      <c r="I54" s="19" t="s">
        <v>92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spans="1:21">
      <c r="B55" s="17"/>
      <c r="C55" s="17">
        <f t="shared" ref="C55:F55" si="55">C1</f>
        <v>2018</v>
      </c>
      <c r="D55" s="17">
        <f t="shared" si="55"/>
        <v>2017</v>
      </c>
      <c r="E55" s="17">
        <f t="shared" si="55"/>
        <v>2016</v>
      </c>
      <c r="F55" s="17">
        <f t="shared" si="55"/>
        <v>2015</v>
      </c>
      <c r="G55" s="17">
        <f>G1</f>
        <v>2014</v>
      </c>
      <c r="H55" s="18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</row>
    <row r="56" spans="1:21">
      <c r="B56" s="19" t="s">
        <v>93</v>
      </c>
      <c r="C56" s="20">
        <f t="shared" ref="C56:F56" si="56">C34</f>
        <v>-5.674592690444738E-2</v>
      </c>
      <c r="D56" s="20">
        <f t="shared" si="56"/>
        <v>-1.5523848348960456E-2</v>
      </c>
      <c r="E56" s="20">
        <f t="shared" si="56"/>
        <v>3.3408629557838188E-2</v>
      </c>
      <c r="F56" s="20">
        <f t="shared" si="56"/>
        <v>1.4738904612322334E-2</v>
      </c>
      <c r="G56" s="20">
        <f>G34</f>
        <v>5.9530371513614816E-2</v>
      </c>
      <c r="H56" s="18"/>
      <c r="J56" s="17" t="s">
        <v>94</v>
      </c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</row>
    <row r="57" spans="1:21">
      <c r="B57" s="17"/>
      <c r="C57" s="17"/>
      <c r="D57" s="17"/>
      <c r="E57" s="17"/>
      <c r="F57" s="17"/>
      <c r="G57" s="17"/>
      <c r="H57" s="18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</row>
    <row r="58" spans="1:21">
      <c r="B58" s="21" t="s">
        <v>95</v>
      </c>
      <c r="C58" s="53">
        <f t="shared" ref="C58:F58" si="57">C37</f>
        <v>-6.7424136728287398E-2</v>
      </c>
      <c r="D58" s="53">
        <f t="shared" si="57"/>
        <v>-2.2472103004291841E-2</v>
      </c>
      <c r="E58" s="53">
        <f t="shared" si="57"/>
        <v>5.8347327735572441E-2</v>
      </c>
      <c r="F58" s="53">
        <f t="shared" si="57"/>
        <v>2.0285078332334561E-2</v>
      </c>
      <c r="G58" s="53">
        <f>G37</f>
        <v>3.1193266215547119E-2</v>
      </c>
      <c r="H58" s="18" t="s">
        <v>96</v>
      </c>
      <c r="J58" s="17" t="s">
        <v>97</v>
      </c>
      <c r="K58" s="17"/>
      <c r="L58" s="17"/>
      <c r="M58" s="17"/>
      <c r="N58" s="17"/>
      <c r="P58" s="17"/>
      <c r="Q58" s="17"/>
      <c r="R58" s="17"/>
      <c r="S58" s="17"/>
      <c r="T58" s="17"/>
      <c r="U58" s="17"/>
    </row>
    <row r="59" spans="1:21">
      <c r="B59" s="21" t="s">
        <v>98</v>
      </c>
      <c r="C59" s="22">
        <f t="shared" ref="C59:F59" si="58">C40</f>
        <v>0.84162630265668581</v>
      </c>
      <c r="D59" s="22">
        <f t="shared" si="58"/>
        <v>0.6908053218693252</v>
      </c>
      <c r="E59" s="22">
        <f t="shared" si="58"/>
        <v>0.5725819991147606</v>
      </c>
      <c r="F59" s="22">
        <f t="shared" si="58"/>
        <v>0.72658849874039733</v>
      </c>
      <c r="G59" s="22">
        <f>G40</f>
        <v>1.9084366190528688</v>
      </c>
      <c r="H59" s="18" t="s">
        <v>99</v>
      </c>
      <c r="J59" s="17" t="s">
        <v>100</v>
      </c>
      <c r="K59" s="17"/>
      <c r="L59" s="17"/>
      <c r="M59" s="17"/>
      <c r="N59" s="17"/>
      <c r="P59" s="17"/>
      <c r="Q59" s="17"/>
      <c r="R59" s="17"/>
      <c r="S59" s="17"/>
      <c r="T59" s="17"/>
      <c r="U59" s="17"/>
    </row>
    <row r="60" spans="1:21">
      <c r="B60" s="17"/>
      <c r="C60" s="17"/>
      <c r="D60" s="17"/>
      <c r="E60" s="17"/>
      <c r="F60" s="17"/>
      <c r="G60" s="17"/>
      <c r="H60" s="18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>
      <c r="B61" s="23" t="str">
        <f>+B24</f>
        <v>NOPAT</v>
      </c>
      <c r="C61" s="24">
        <f>+C24</f>
        <v>-386.60999999999996</v>
      </c>
      <c r="D61" s="24">
        <f>+D24</f>
        <v>-104.71999999999998</v>
      </c>
      <c r="E61" s="24">
        <f t="shared" ref="E61:F61" si="59">+E24</f>
        <v>218.89000000000001</v>
      </c>
      <c r="F61" s="24">
        <f t="shared" si="59"/>
        <v>94.78</v>
      </c>
      <c r="G61" s="24">
        <f>+G24</f>
        <v>189</v>
      </c>
      <c r="H61" s="18" t="s">
        <v>101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>
      <c r="B62" s="17"/>
      <c r="C62" s="17"/>
      <c r="D62" s="17"/>
      <c r="E62" s="17"/>
      <c r="F62" s="17"/>
      <c r="G62" s="17"/>
      <c r="H62" s="18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>
      <c r="B63" s="25" t="str">
        <f>+B25</f>
        <v>Invested Capital</v>
      </c>
      <c r="C63" s="24">
        <f>+C25</f>
        <v>6726.7999999999993</v>
      </c>
      <c r="D63" s="24">
        <f>+D25</f>
        <v>6899.1999999999989</v>
      </c>
      <c r="E63" s="24">
        <f t="shared" ref="E63:G63" si="60">+E25</f>
        <v>6592.2999999999993</v>
      </c>
      <c r="F63" s="24">
        <f t="shared" si="60"/>
        <v>6511.5</v>
      </c>
      <c r="G63" s="24">
        <f t="shared" si="60"/>
        <v>6349.7</v>
      </c>
      <c r="H63" s="18" t="s">
        <v>102</v>
      </c>
      <c r="J63" s="17" t="s">
        <v>103</v>
      </c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5" spans="2:9">
      <c r="I65" s="17"/>
    </row>
    <row r="66" spans="2:9">
      <c r="I66" s="17"/>
    </row>
    <row r="68" spans="2:9">
      <c r="B68" s="19"/>
    </row>
  </sheetData>
  <conditionalFormatting sqref="C36:F36">
    <cfRule type="cellIs" dxfId="1" priority="1" operator="lessThan">
      <formula>"0.8*$A$36"</formula>
    </cfRule>
    <cfRule type="cellIs" dxfId="0" priority="2" operator="greaterThan">
      <formula>"1.2*$A$36"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Ratios STEG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priit</dc:creator>
  <cp:keywords/>
  <dc:description/>
  <cp:lastModifiedBy>Ala B-A</cp:lastModifiedBy>
  <cp:revision/>
  <dcterms:created xsi:type="dcterms:W3CDTF">2016-11-19T14:22:51Z</dcterms:created>
  <dcterms:modified xsi:type="dcterms:W3CDTF">2020-08-05T12:06:36Z</dcterms:modified>
  <cp:category/>
  <cp:contentStatus/>
</cp:coreProperties>
</file>